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ihova-jira\Desktop\ \5K\HYDSLIDES\flood routing\"/>
    </mc:Choice>
  </mc:AlternateContent>
  <bookViews>
    <workbookView xWindow="0" yWindow="0" windowWidth="20490" windowHeight="7755" activeTab="3"/>
  </bookViews>
  <sheets>
    <sheet name="PREPARE PLOT" sheetId="2" r:id="rId1"/>
    <sheet name="calculation" sheetId="1" r:id="rId2"/>
    <sheet name="Sheet1" sheetId="3" r:id="rId3"/>
    <sheet name="Sheet2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H26" i="4"/>
  <c r="B4" i="4"/>
  <c r="B5" i="4" s="1"/>
  <c r="D40" i="4" s="1"/>
  <c r="B8" i="4"/>
  <c r="D7" i="3"/>
  <c r="E7" i="3" s="1"/>
  <c r="D9" i="3" s="1"/>
  <c r="E9" i="3" s="1"/>
  <c r="D11" i="3" s="1"/>
  <c r="E11" i="3" s="1"/>
  <c r="D13" i="3" s="1"/>
  <c r="E13" i="3" s="1"/>
  <c r="D15" i="3" s="1"/>
  <c r="E15" i="3" s="1"/>
  <c r="D5" i="3"/>
  <c r="E5" i="3" s="1"/>
  <c r="D3" i="3"/>
  <c r="K6" i="3"/>
  <c r="K7" i="3"/>
  <c r="K8" i="3"/>
  <c r="K9" i="3"/>
  <c r="K10" i="3"/>
  <c r="K11" i="3"/>
  <c r="K12" i="3"/>
  <c r="K5" i="3"/>
  <c r="E3" i="3"/>
  <c r="N6" i="3"/>
  <c r="N7" i="3"/>
  <c r="N8" i="3"/>
  <c r="N9" i="3"/>
  <c r="N10" i="3"/>
  <c r="N11" i="3"/>
  <c r="O11" i="3" s="1"/>
  <c r="N12" i="3"/>
  <c r="N5" i="3"/>
  <c r="O6" i="3"/>
  <c r="O8" i="3"/>
  <c r="O10" i="3"/>
  <c r="O9" i="3"/>
  <c r="O5" i="3"/>
  <c r="O12" i="3"/>
  <c r="E13" i="1"/>
  <c r="O7" i="3"/>
  <c r="H18" i="3"/>
  <c r="H17" i="3"/>
  <c r="C15" i="3"/>
  <c r="C13" i="3"/>
  <c r="C11" i="3"/>
  <c r="C9" i="3"/>
  <c r="C7" i="3"/>
  <c r="C3" i="3"/>
  <c r="C5" i="3"/>
  <c r="J2" i="3"/>
  <c r="B16" i="3"/>
  <c r="B14" i="3"/>
  <c r="B12" i="3"/>
  <c r="B10" i="3"/>
  <c r="B8" i="3"/>
  <c r="B6" i="3"/>
  <c r="B4" i="3"/>
  <c r="C16" i="4" l="1"/>
  <c r="B28" i="4" s="1"/>
  <c r="C27" i="4" s="1"/>
  <c r="D27" i="4" s="1"/>
  <c r="C18" i="4"/>
  <c r="B32" i="4" s="1"/>
  <c r="C20" i="4"/>
  <c r="B36" i="4" s="1"/>
  <c r="C17" i="4"/>
  <c r="B30" i="4" s="1"/>
  <c r="C19" i="4"/>
  <c r="B34" i="4" s="1"/>
  <c r="C33" i="4" s="1"/>
  <c r="D33" i="4" s="1"/>
  <c r="C15" i="4"/>
  <c r="B26" i="4" s="1"/>
  <c r="C29" i="4"/>
  <c r="D29" i="4" s="1"/>
  <c r="D39" i="4"/>
  <c r="D45" i="4"/>
  <c r="D43" i="4"/>
  <c r="D41" i="4"/>
  <c r="D46" i="4"/>
  <c r="D44" i="4"/>
  <c r="H32" i="4" s="1"/>
  <c r="D42" i="4"/>
  <c r="E27" i="4"/>
  <c r="E3" i="1"/>
  <c r="K4" i="1" s="1"/>
  <c r="C25" i="1"/>
  <c r="D25" i="1" s="1"/>
  <c r="C23" i="1"/>
  <c r="D23" i="1" s="1"/>
  <c r="C21" i="1"/>
  <c r="D21" i="1" s="1"/>
  <c r="C19" i="1"/>
  <c r="D19" i="1" s="1"/>
  <c r="C17" i="1"/>
  <c r="D17" i="1" s="1"/>
  <c r="C15" i="1"/>
  <c r="D15" i="1" s="1"/>
  <c r="C13" i="1"/>
  <c r="D13" i="1" s="1"/>
  <c r="C11" i="1"/>
  <c r="D11" i="1" s="1"/>
  <c r="C9" i="1"/>
  <c r="D9" i="1" s="1"/>
  <c r="C7" i="1"/>
  <c r="D7" i="1" s="1"/>
  <c r="C5" i="1"/>
  <c r="D5" i="1" s="1"/>
  <c r="C3" i="1"/>
  <c r="D3" i="1" s="1"/>
  <c r="F3" i="1" s="1"/>
  <c r="E5" i="1" s="1"/>
  <c r="A8" i="1"/>
  <c r="A10" i="1" s="1"/>
  <c r="A12" i="1" s="1"/>
  <c r="A14" i="1" s="1"/>
  <c r="A16" i="1" s="1"/>
  <c r="A18" i="1" s="1"/>
  <c r="A20" i="1" s="1"/>
  <c r="A22" i="1" s="1"/>
  <c r="A24" i="1" s="1"/>
  <c r="A26" i="1" s="1"/>
  <c r="A6" i="1"/>
  <c r="B2" i="2"/>
  <c r="D6" i="2"/>
  <c r="D7" i="2"/>
  <c r="D8" i="2"/>
  <c r="D9" i="2"/>
  <c r="D10" i="2"/>
  <c r="D11" i="2"/>
  <c r="D12" i="2"/>
  <c r="D5" i="2"/>
  <c r="C35" i="4" l="1"/>
  <c r="D35" i="4" s="1"/>
  <c r="F27" i="4"/>
  <c r="C31" i="4"/>
  <c r="D31" i="4" s="1"/>
  <c r="H28" i="4"/>
  <c r="G28" i="4"/>
  <c r="F5" i="1"/>
  <c r="E7" i="1" s="1"/>
  <c r="F7" i="1" s="1"/>
  <c r="E9" i="1" s="1"/>
  <c r="F9" i="1" s="1"/>
  <c r="E11" i="1" s="1"/>
  <c r="F11" i="1" s="1"/>
  <c r="F13" i="1" s="1"/>
  <c r="E15" i="1" s="1"/>
  <c r="F15" i="1" s="1"/>
  <c r="E17" i="1" s="1"/>
  <c r="F17" i="1" s="1"/>
  <c r="E19" i="1" s="1"/>
  <c r="F19" i="1" s="1"/>
  <c r="E21" i="1" s="1"/>
  <c r="F21" i="1" s="1"/>
  <c r="E23" i="1" s="1"/>
  <c r="F23" i="1" s="1"/>
  <c r="E25" i="1" s="1"/>
  <c r="F25" i="1" s="1"/>
  <c r="E29" i="4" l="1"/>
  <c r="F29" i="4" s="1"/>
  <c r="H30" i="4" s="1"/>
  <c r="E31" i="4" s="1"/>
  <c r="F31" i="4" s="1"/>
  <c r="G32" i="4" s="1"/>
  <c r="G30" i="4"/>
  <c r="E33" i="4" l="1"/>
  <c r="F33" i="4" s="1"/>
  <c r="G34" i="4" l="1"/>
  <c r="H34" i="4"/>
  <c r="E35" i="4" l="1"/>
  <c r="F35" i="4" s="1"/>
  <c r="H36" i="4" l="1"/>
  <c r="G36" i="4"/>
  <c r="C49" i="4" l="1"/>
  <c r="C50" i="4"/>
  <c r="C48" i="4"/>
  <c r="B52" i="4" l="1"/>
  <c r="B60" i="4" s="1"/>
  <c r="B66" i="4" s="1"/>
  <c r="B69" i="4" s="1"/>
</calcChain>
</file>

<file path=xl/sharedStrings.xml><?xml version="1.0" encoding="utf-8"?>
<sst xmlns="http://schemas.openxmlformats.org/spreadsheetml/2006/main" count="90" uniqueCount="56">
  <si>
    <t>time</t>
  </si>
  <si>
    <t>inflow</t>
  </si>
  <si>
    <t>ELEVATION</t>
  </si>
  <si>
    <t>Q</t>
  </si>
  <si>
    <t>ELEV</t>
  </si>
  <si>
    <t>.</t>
  </si>
  <si>
    <t>Δt</t>
  </si>
  <si>
    <t>Hr</t>
  </si>
  <si>
    <t>Sec</t>
  </si>
  <si>
    <t>STORAGE(1e6)</t>
  </si>
  <si>
    <t>S+QΔT/2</t>
  </si>
  <si>
    <t>S-QΔT/2</t>
  </si>
  <si>
    <t>Avg I</t>
  </si>
  <si>
    <t>avg I *ΔT</t>
  </si>
  <si>
    <t>for 100.5 elevation</t>
  </si>
  <si>
    <t>3.472-(10*0.0216/2)</t>
  </si>
  <si>
    <t>given</t>
  </si>
  <si>
    <t>S+QΔT/2=S-QΔT/2+avg I *ΔT</t>
  </si>
  <si>
    <t>Mm3</t>
  </si>
  <si>
    <t>go to plot</t>
  </si>
  <si>
    <t>(S-QΔT/2)ii=(S+QΔT/2)i-QiiΔt</t>
  </si>
  <si>
    <t>s</t>
  </si>
  <si>
    <t>m3/s</t>
  </si>
  <si>
    <t>elev&amp;Q</t>
  </si>
  <si>
    <t>t</t>
  </si>
  <si>
    <t>ord.of 4h UH(m3/s)/cm</t>
  </si>
  <si>
    <t>Q(103)</t>
  </si>
  <si>
    <r>
      <t>Q(Mm3/sec)x10</t>
    </r>
    <r>
      <rPr>
        <vertAlign val="superscript"/>
        <sz val="11"/>
        <color rgb="FF000000"/>
        <rFont val="Calibri"/>
        <family val="2"/>
        <scheme val="minor"/>
      </rPr>
      <t>3</t>
    </r>
  </si>
  <si>
    <t>Q(Mm3/sec)x103</t>
  </si>
  <si>
    <r>
      <t>ø</t>
    </r>
    <r>
      <rPr>
        <sz val="11"/>
        <color rgb="FF000000"/>
        <rFont val="Calibri"/>
        <family val="2"/>
        <scheme val="minor"/>
      </rPr>
      <t xml:space="preserve"> INDEX </t>
    </r>
  </si>
  <si>
    <t>p</t>
  </si>
  <si>
    <t>cm</t>
  </si>
  <si>
    <t>cm/hr</t>
  </si>
  <si>
    <t>hr</t>
  </si>
  <si>
    <r>
      <t>p-ø</t>
    </r>
    <r>
      <rPr>
        <sz val="11"/>
        <color rgb="FF000000"/>
        <rFont val="Calibri"/>
        <family val="2"/>
        <scheme val="minor"/>
      </rPr>
      <t xml:space="preserve"> INDEX *t</t>
    </r>
  </si>
  <si>
    <t>DRH for ER=1cm</t>
  </si>
  <si>
    <t>INFLOW TO RESERVOIR=OUTFLOW FROM CATCHMENT</t>
  </si>
  <si>
    <t>INFLOW</t>
  </si>
  <si>
    <t>AVG,INFLOW</t>
  </si>
  <si>
    <r>
      <t>*10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sec</t>
    </r>
  </si>
  <si>
    <r>
      <t>x</t>
    </r>
    <r>
      <rPr>
        <vertAlign val="subscript"/>
        <sz val="11"/>
        <color theme="1"/>
        <rFont val="Calibri"/>
        <family val="2"/>
        <scheme val="minor"/>
      </rPr>
      <t>T</t>
    </r>
  </si>
  <si>
    <t>MEAN</t>
  </si>
  <si>
    <t>STDV</t>
  </si>
  <si>
    <t>MAX</t>
  </si>
  <si>
    <r>
      <t>K=X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-mean/STDV</t>
    </r>
  </si>
  <si>
    <t>K</t>
  </si>
  <si>
    <t>Yt</t>
  </si>
  <si>
    <t>Yn=</t>
  </si>
  <si>
    <t>Sn=</t>
  </si>
  <si>
    <t>T</t>
  </si>
  <si>
    <t>years</t>
  </si>
  <si>
    <t>assuming infinite samples</t>
  </si>
  <si>
    <r>
      <t>ord.of 4h UH</t>
    </r>
    <r>
      <rPr>
        <sz val="11"/>
        <color rgb="FF000000"/>
        <rFont val="Calibri"/>
        <family val="2"/>
        <scheme val="minor"/>
      </rPr>
      <t xml:space="preserve"> m3/s/cm</t>
    </r>
  </si>
  <si>
    <t>Q(m3/sec)</t>
  </si>
  <si>
    <t>RO</t>
  </si>
  <si>
    <t>ER(effective rainfall)=RO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</si>
</sst>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rgb="FF000000"/>
      <name val="Algerian"/>
      <family val="5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9" xfId="0" applyFont="1" applyBorder="1"/>
    <xf numFmtId="0" fontId="0" fillId="0" borderId="0" xfId="0" applyBorder="1"/>
    <xf numFmtId="0" fontId="0" fillId="2" borderId="1" xfId="0" applyFill="1" applyBorder="1"/>
    <xf numFmtId="0" fontId="0" fillId="2" borderId="0" xfId="0" applyFill="1"/>
    <xf numFmtId="0" fontId="0" fillId="0" borderId="10" xfId="0" applyBorder="1"/>
    <xf numFmtId="0" fontId="0" fillId="0" borderId="0" xfId="0" applyFill="1" applyBorder="1"/>
    <xf numFmtId="0" fontId="0" fillId="4" borderId="0" xfId="0" applyFill="1"/>
    <xf numFmtId="0" fontId="0" fillId="3" borderId="0" xfId="0" applyFill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" fontId="0" fillId="0" borderId="0" xfId="0" applyNumberFormat="1"/>
    <xf numFmtId="3" fontId="0" fillId="0" borderId="0" xfId="0" applyNumberFormat="1"/>
    <xf numFmtId="3" fontId="4" fillId="0" borderId="12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0" fillId="0" borderId="1" xfId="0" applyNumberFormat="1" applyBorder="1"/>
    <xf numFmtId="0" fontId="6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4" fillId="0" borderId="15" xfId="0" applyFont="1" applyBorder="1" applyAlignment="1">
      <alignment vertical="center"/>
    </xf>
    <xf numFmtId="0" fontId="0" fillId="0" borderId="17" xfId="0" applyBorder="1"/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'PREPARE PLOT'!$B$16</c:f>
              <c:strCache>
                <c:ptCount val="1"/>
                <c:pt idx="0">
                  <c:v>ELEV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'PREPARE PLOT'!$A$17:$A$24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26</c:v>
                </c:pt>
                <c:pt idx="3">
                  <c:v>46</c:v>
                </c:pt>
                <c:pt idx="4">
                  <c:v>72</c:v>
                </c:pt>
                <c:pt idx="5">
                  <c:v>100</c:v>
                </c:pt>
                <c:pt idx="6">
                  <c:v>116</c:v>
                </c:pt>
                <c:pt idx="7">
                  <c:v>130</c:v>
                </c:pt>
              </c:numCache>
            </c:numRef>
          </c:xVal>
          <c:yVal>
            <c:numRef>
              <c:f>'PREPARE PLOT'!$B$17:$B$24</c:f>
              <c:numCache>
                <c:formatCode>General</c:formatCode>
                <c:ptCount val="8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101.5</c:v>
                </c:pt>
                <c:pt idx="4">
                  <c:v>102</c:v>
                </c:pt>
                <c:pt idx="5">
                  <c:v>102.5</c:v>
                </c:pt>
                <c:pt idx="6">
                  <c:v>102.75</c:v>
                </c:pt>
                <c:pt idx="7">
                  <c:v>103</c:v>
                </c:pt>
              </c:numCache>
            </c:numRef>
          </c:yVal>
          <c:smooth val="1"/>
        </c:ser>
        <c:ser>
          <c:idx val="1"/>
          <c:order val="1"/>
          <c:tx>
            <c:v>elev Vs s+qdt/2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'PREPARE PLOT'!$D$5:$D$12</c:f>
              <c:numCache>
                <c:formatCode>General</c:formatCode>
                <c:ptCount val="8"/>
                <c:pt idx="0">
                  <c:v>3.35</c:v>
                </c:pt>
                <c:pt idx="1">
                  <c:v>3.58</c:v>
                </c:pt>
                <c:pt idx="2">
                  <c:v>4.1608000000000001</c:v>
                </c:pt>
                <c:pt idx="3">
                  <c:v>4.8798000000000004</c:v>
                </c:pt>
                <c:pt idx="4">
                  <c:v>5.6595999999999993</c:v>
                </c:pt>
                <c:pt idx="5">
                  <c:v>6.45</c:v>
                </c:pt>
                <c:pt idx="6">
                  <c:v>6.7797999999999998</c:v>
                </c:pt>
                <c:pt idx="7">
                  <c:v>7.26</c:v>
                </c:pt>
              </c:numCache>
            </c:numRef>
          </c:xVal>
          <c:yVal>
            <c:numRef>
              <c:f>'PREPARE PLOT'!$A$5:$A$12</c:f>
              <c:numCache>
                <c:formatCode>General</c:formatCode>
                <c:ptCount val="8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101.5</c:v>
                </c:pt>
                <c:pt idx="4">
                  <c:v>102</c:v>
                </c:pt>
                <c:pt idx="5">
                  <c:v>102.5</c:v>
                </c:pt>
                <c:pt idx="6">
                  <c:v>102.75</c:v>
                </c:pt>
                <c:pt idx="7">
                  <c:v>103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68184"/>
        <c:axId val="205173056"/>
      </c:scatterChart>
      <c:valAx>
        <c:axId val="201868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73056"/>
        <c:crosses val="autoZero"/>
        <c:crossBetween val="midCat"/>
      </c:valAx>
      <c:valAx>
        <c:axId val="20517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68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17</xdr:row>
      <xdr:rowOff>0</xdr:rowOff>
    </xdr:from>
    <xdr:to>
      <xdr:col>8</xdr:col>
      <xdr:colOff>571500</xdr:colOff>
      <xdr:row>31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95250</xdr:rowOff>
    </xdr:from>
    <xdr:to>
      <xdr:col>6</xdr:col>
      <xdr:colOff>361950</xdr:colOff>
      <xdr:row>3</xdr:row>
      <xdr:rowOff>76200</xdr:rowOff>
    </xdr:to>
    <xdr:cxnSp macro="">
      <xdr:nvCxnSpPr>
        <xdr:cNvPr id="3" name="Straight Arrow Connector 2"/>
        <xdr:cNvCxnSpPr/>
      </xdr:nvCxnSpPr>
      <xdr:spPr>
        <a:xfrm>
          <a:off x="3724275" y="476250"/>
          <a:ext cx="295275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381846</xdr:colOff>
      <xdr:row>1</xdr:row>
      <xdr:rowOff>188737</xdr:rowOff>
    </xdr:from>
    <xdr:to>
      <xdr:col>7</xdr:col>
      <xdr:colOff>298544</xdr:colOff>
      <xdr:row>3</xdr:row>
      <xdr:rowOff>32683</xdr:rowOff>
    </xdr:to>
    <xdr:sp macro="" textlink="">
      <xdr:nvSpPr>
        <xdr:cNvPr id="4" name="TextBox 3"/>
        <xdr:cNvSpPr txBox="1"/>
      </xdr:nvSpPr>
      <xdr:spPr>
        <a:xfrm rot="21263614">
          <a:off x="4039446" y="379237"/>
          <a:ext cx="754898" cy="2249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plot</a:t>
          </a:r>
        </a:p>
      </xdr:txBody>
    </xdr:sp>
    <xdr:clientData/>
  </xdr:twoCellAnchor>
  <xdr:twoCellAnchor>
    <xdr:from>
      <xdr:col>4</xdr:col>
      <xdr:colOff>485775</xdr:colOff>
      <xdr:row>2</xdr:row>
      <xdr:rowOff>180975</xdr:rowOff>
    </xdr:from>
    <xdr:to>
      <xdr:col>5</xdr:col>
      <xdr:colOff>409575</xdr:colOff>
      <xdr:row>3</xdr:row>
      <xdr:rowOff>180975</xdr:rowOff>
    </xdr:to>
    <xdr:sp macro="" textlink="">
      <xdr:nvSpPr>
        <xdr:cNvPr id="5" name="TextBox 4"/>
        <xdr:cNvSpPr txBox="1"/>
      </xdr:nvSpPr>
      <xdr:spPr>
        <a:xfrm>
          <a:off x="2924175" y="561975"/>
          <a:ext cx="5334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-Q</a:t>
          </a:r>
          <a:r>
            <a:rPr lang="el-GR" sz="1100"/>
            <a:t>Δ</a:t>
          </a:r>
          <a:r>
            <a:rPr lang="en-US" sz="1100"/>
            <a:t>t</a:t>
          </a:r>
        </a:p>
      </xdr:txBody>
    </xdr:sp>
    <xdr:clientData/>
  </xdr:twoCellAnchor>
  <xdr:twoCellAnchor>
    <xdr:from>
      <xdr:col>4</xdr:col>
      <xdr:colOff>438150</xdr:colOff>
      <xdr:row>2</xdr:row>
      <xdr:rowOff>152400</xdr:rowOff>
    </xdr:from>
    <xdr:to>
      <xdr:col>5</xdr:col>
      <xdr:colOff>438150</xdr:colOff>
      <xdr:row>4</xdr:row>
      <xdr:rowOff>38100</xdr:rowOff>
    </xdr:to>
    <xdr:cxnSp macro="">
      <xdr:nvCxnSpPr>
        <xdr:cNvPr id="7" name="Straight Arrow Connector 6"/>
        <xdr:cNvCxnSpPr/>
      </xdr:nvCxnSpPr>
      <xdr:spPr>
        <a:xfrm flipH="1">
          <a:off x="2876550" y="533400"/>
          <a:ext cx="609600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52</xdr:row>
      <xdr:rowOff>19050</xdr:rowOff>
    </xdr:from>
    <xdr:to>
      <xdr:col>2</xdr:col>
      <xdr:colOff>171450</xdr:colOff>
      <xdr:row>55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391900"/>
          <a:ext cx="13620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</xdr:col>
      <xdr:colOff>371475</xdr:colOff>
      <xdr:row>63</xdr:row>
      <xdr:rowOff>171450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7350"/>
          <a:ext cx="1590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64</xdr:row>
      <xdr:rowOff>47625</xdr:rowOff>
    </xdr:from>
    <xdr:to>
      <xdr:col>0</xdr:col>
      <xdr:colOff>571500</xdr:colOff>
      <xdr:row>67</xdr:row>
      <xdr:rowOff>28575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706475"/>
          <a:ext cx="4095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4" sqref="D4"/>
    </sheetView>
  </sheetViews>
  <sheetFormatPr defaultRowHeight="15" x14ac:dyDescent="0.25"/>
  <cols>
    <col min="2" max="2" width="13.42578125" customWidth="1"/>
  </cols>
  <sheetData>
    <row r="1" spans="1:4" x14ac:dyDescent="0.25">
      <c r="A1" s="1" t="s">
        <v>6</v>
      </c>
      <c r="B1">
        <v>6</v>
      </c>
      <c r="C1" t="s">
        <v>7</v>
      </c>
    </row>
    <row r="2" spans="1:4" x14ac:dyDescent="0.25">
      <c r="B2">
        <f>6*60*60/(1000000)</f>
        <v>2.1600000000000001E-2</v>
      </c>
      <c r="C2" t="s">
        <v>8</v>
      </c>
    </row>
    <row r="4" spans="1:4" x14ac:dyDescent="0.25">
      <c r="A4" t="s">
        <v>4</v>
      </c>
      <c r="B4" t="s">
        <v>9</v>
      </c>
      <c r="C4" t="s">
        <v>3</v>
      </c>
      <c r="D4" t="s">
        <v>10</v>
      </c>
    </row>
    <row r="5" spans="1:4" x14ac:dyDescent="0.25">
      <c r="A5">
        <v>100</v>
      </c>
      <c r="B5">
        <v>3.35</v>
      </c>
      <c r="C5">
        <v>0</v>
      </c>
      <c r="D5">
        <f>B5+(C5*$B$2/2)</f>
        <v>3.35</v>
      </c>
    </row>
    <row r="6" spans="1:4" x14ac:dyDescent="0.25">
      <c r="A6">
        <v>100.5</v>
      </c>
      <c r="B6">
        <v>3.472</v>
      </c>
      <c r="C6">
        <v>10</v>
      </c>
      <c r="D6">
        <f>B6+(C6*$B$2/2)</f>
        <v>3.58</v>
      </c>
    </row>
    <row r="7" spans="1:4" x14ac:dyDescent="0.25">
      <c r="A7">
        <v>101</v>
      </c>
      <c r="B7">
        <v>3.88</v>
      </c>
      <c r="C7">
        <v>26</v>
      </c>
      <c r="D7">
        <f t="shared" ref="D7:D12" si="0">B7+(C7*$B$2/2)</f>
        <v>4.1608000000000001</v>
      </c>
    </row>
    <row r="8" spans="1:4" x14ac:dyDescent="0.25">
      <c r="A8">
        <v>101.5</v>
      </c>
      <c r="B8">
        <v>4.383</v>
      </c>
      <c r="C8">
        <v>46</v>
      </c>
      <c r="D8">
        <f t="shared" si="0"/>
        <v>4.8798000000000004</v>
      </c>
    </row>
    <row r="9" spans="1:4" x14ac:dyDescent="0.25">
      <c r="A9">
        <v>102</v>
      </c>
      <c r="B9">
        <v>4.8819999999999997</v>
      </c>
      <c r="C9">
        <v>72</v>
      </c>
      <c r="D9">
        <f t="shared" si="0"/>
        <v>5.6595999999999993</v>
      </c>
    </row>
    <row r="10" spans="1:4" x14ac:dyDescent="0.25">
      <c r="A10">
        <v>102.5</v>
      </c>
      <c r="B10">
        <v>5.37</v>
      </c>
      <c r="C10">
        <v>100</v>
      </c>
      <c r="D10">
        <f t="shared" si="0"/>
        <v>6.45</v>
      </c>
    </row>
    <row r="11" spans="1:4" x14ac:dyDescent="0.25">
      <c r="A11">
        <v>102.75</v>
      </c>
      <c r="B11">
        <v>5.5270000000000001</v>
      </c>
      <c r="C11">
        <v>116</v>
      </c>
      <c r="D11">
        <f t="shared" si="0"/>
        <v>6.7797999999999998</v>
      </c>
    </row>
    <row r="12" spans="1:4" x14ac:dyDescent="0.25">
      <c r="A12">
        <v>103</v>
      </c>
      <c r="B12">
        <v>5.8559999999999999</v>
      </c>
      <c r="C12">
        <v>130</v>
      </c>
      <c r="D12">
        <f t="shared" si="0"/>
        <v>7.26</v>
      </c>
    </row>
    <row r="13" spans="1:4" x14ac:dyDescent="0.25">
      <c r="C13" t="s">
        <v>5</v>
      </c>
    </row>
    <row r="16" spans="1:4" x14ac:dyDescent="0.25">
      <c r="A16" s="2" t="s">
        <v>3</v>
      </c>
      <c r="B16" s="2" t="s">
        <v>4</v>
      </c>
    </row>
    <row r="17" spans="1:2" x14ac:dyDescent="0.25">
      <c r="A17" s="2">
        <v>0</v>
      </c>
      <c r="B17" s="2">
        <v>100</v>
      </c>
    </row>
    <row r="18" spans="1:2" x14ac:dyDescent="0.25">
      <c r="A18" s="2">
        <v>10</v>
      </c>
      <c r="B18" s="2">
        <v>100.5</v>
      </c>
    </row>
    <row r="19" spans="1:2" x14ac:dyDescent="0.25">
      <c r="A19" s="2">
        <v>26</v>
      </c>
      <c r="B19" s="2">
        <v>101</v>
      </c>
    </row>
    <row r="20" spans="1:2" x14ac:dyDescent="0.25">
      <c r="A20" s="2">
        <v>46</v>
      </c>
      <c r="B20" s="2">
        <v>101.5</v>
      </c>
    </row>
    <row r="21" spans="1:2" x14ac:dyDescent="0.25">
      <c r="A21" s="2">
        <v>72</v>
      </c>
      <c r="B21" s="2">
        <v>102</v>
      </c>
    </row>
    <row r="22" spans="1:2" x14ac:dyDescent="0.25">
      <c r="A22" s="2">
        <v>100</v>
      </c>
      <c r="B22" s="2">
        <v>102.5</v>
      </c>
    </row>
    <row r="23" spans="1:2" x14ac:dyDescent="0.25">
      <c r="A23" s="2">
        <v>116</v>
      </c>
      <c r="B23" s="2">
        <v>102.75</v>
      </c>
    </row>
    <row r="24" spans="1:2" x14ac:dyDescent="0.25">
      <c r="A24" s="2">
        <v>130</v>
      </c>
      <c r="B24" s="2">
        <v>103</v>
      </c>
    </row>
    <row r="26" spans="1:2" x14ac:dyDescent="0.25">
      <c r="A26" s="5" t="s">
        <v>4</v>
      </c>
      <c r="B26" s="9" t="s">
        <v>10</v>
      </c>
    </row>
    <row r="27" spans="1:2" x14ac:dyDescent="0.25">
      <c r="A27" s="7">
        <v>100</v>
      </c>
      <c r="B27" s="9">
        <v>3.35</v>
      </c>
    </row>
    <row r="28" spans="1:2" x14ac:dyDescent="0.25">
      <c r="A28" s="8">
        <v>100.5</v>
      </c>
      <c r="B28" s="5">
        <v>3.58</v>
      </c>
    </row>
    <row r="29" spans="1:2" x14ac:dyDescent="0.25">
      <c r="A29" s="7">
        <v>101</v>
      </c>
      <c r="B29" s="7">
        <v>4.1608000000000001</v>
      </c>
    </row>
    <row r="30" spans="1:2" x14ac:dyDescent="0.25">
      <c r="A30" s="6">
        <v>101.5</v>
      </c>
      <c r="B30" s="10">
        <v>4.8798000000000004</v>
      </c>
    </row>
    <row r="31" spans="1:2" x14ac:dyDescent="0.25">
      <c r="A31" s="7">
        <v>102</v>
      </c>
      <c r="B31" s="7">
        <v>5.6595999999999993</v>
      </c>
    </row>
    <row r="32" spans="1:2" x14ac:dyDescent="0.25">
      <c r="A32" s="6">
        <v>102.5</v>
      </c>
      <c r="B32" s="10">
        <v>6.45</v>
      </c>
    </row>
    <row r="33" spans="1:3" x14ac:dyDescent="0.25">
      <c r="A33" s="11">
        <v>102.75</v>
      </c>
      <c r="B33" s="7">
        <v>6.7797999999999998</v>
      </c>
    </row>
    <row r="34" spans="1:3" x14ac:dyDescent="0.25">
      <c r="A34" s="7">
        <v>103</v>
      </c>
      <c r="B34" s="7">
        <v>7.26</v>
      </c>
    </row>
    <row r="35" spans="1:3" x14ac:dyDescent="0.25">
      <c r="A35" s="3"/>
      <c r="B35" s="4"/>
    </row>
    <row r="37" spans="1:3" x14ac:dyDescent="0.25">
      <c r="A37" s="17" t="s">
        <v>14</v>
      </c>
      <c r="B37" s="17"/>
      <c r="C37" s="17"/>
    </row>
    <row r="38" spans="1:3" x14ac:dyDescent="0.25">
      <c r="A38" s="17" t="s">
        <v>3</v>
      </c>
      <c r="B38" s="17">
        <v>10</v>
      </c>
      <c r="C38" s="17" t="s">
        <v>22</v>
      </c>
    </row>
    <row r="39" spans="1:3" x14ac:dyDescent="0.25">
      <c r="A39" s="17" t="s">
        <v>21</v>
      </c>
      <c r="B39" s="17">
        <v>3.472</v>
      </c>
      <c r="C39" s="17" t="s">
        <v>18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E5" sqref="E5"/>
    </sheetView>
  </sheetViews>
  <sheetFormatPr defaultRowHeight="15" x14ac:dyDescent="0.25"/>
  <cols>
    <col min="7" max="7" width="12.5703125" customWidth="1"/>
  </cols>
  <sheetData>
    <row r="1" spans="1:18" x14ac:dyDescent="0.25">
      <c r="A1" s="2" t="s">
        <v>0</v>
      </c>
      <c r="B1" s="2" t="s">
        <v>1</v>
      </c>
      <c r="C1" s="2" t="s">
        <v>12</v>
      </c>
      <c r="D1" s="2" t="s">
        <v>13</v>
      </c>
      <c r="E1" s="2" t="s">
        <v>11</v>
      </c>
      <c r="F1" s="2" t="s">
        <v>10</v>
      </c>
      <c r="G1" s="2" t="s">
        <v>2</v>
      </c>
      <c r="H1" s="2" t="s">
        <v>3</v>
      </c>
    </row>
    <row r="2" spans="1:18" x14ac:dyDescent="0.25">
      <c r="A2" s="2">
        <v>0</v>
      </c>
      <c r="B2" s="2">
        <v>10</v>
      </c>
      <c r="C2" s="2"/>
      <c r="D2" s="2"/>
      <c r="E2" s="2"/>
      <c r="F2" s="2"/>
      <c r="G2" s="13">
        <v>100.5</v>
      </c>
      <c r="H2" s="13">
        <v>10</v>
      </c>
      <c r="I2" s="14" t="s">
        <v>16</v>
      </c>
    </row>
    <row r="3" spans="1:18" x14ac:dyDescent="0.25">
      <c r="A3" s="2"/>
      <c r="B3" s="2"/>
      <c r="C3" s="2">
        <f>(B4+B2)/2</f>
        <v>15</v>
      </c>
      <c r="D3" s="2">
        <f>C3*'PREPARE PLOT'!$B$2</f>
        <v>0.32400000000000001</v>
      </c>
      <c r="E3" s="2">
        <f>3.472-(10*'PREPARE PLOT'!$B$2/2)</f>
        <v>3.3639999999999999</v>
      </c>
      <c r="F3" s="2">
        <f>D3+E3</f>
        <v>3.6879999999999997</v>
      </c>
      <c r="G3" s="2"/>
      <c r="H3" s="15"/>
      <c r="I3" s="12"/>
      <c r="J3" s="12" t="s">
        <v>11</v>
      </c>
      <c r="K3" s="12" t="s">
        <v>15</v>
      </c>
      <c r="L3" s="12"/>
      <c r="M3" s="12"/>
      <c r="N3" s="18" t="s">
        <v>17</v>
      </c>
      <c r="O3" s="18"/>
      <c r="P3" s="18"/>
      <c r="Q3" s="12"/>
      <c r="R3" s="12"/>
    </row>
    <row r="4" spans="1:18" x14ac:dyDescent="0.25">
      <c r="A4" s="2">
        <v>6</v>
      </c>
      <c r="B4" s="2">
        <v>20</v>
      </c>
      <c r="C4" s="2"/>
      <c r="D4" s="2"/>
      <c r="E4" s="2"/>
      <c r="F4" s="2"/>
      <c r="G4" s="2">
        <v>100.62</v>
      </c>
      <c r="H4" s="15">
        <v>13</v>
      </c>
      <c r="I4" s="12"/>
      <c r="J4" s="12"/>
      <c r="K4" s="12">
        <f>E3</f>
        <v>3.3639999999999999</v>
      </c>
      <c r="L4" s="12" t="s">
        <v>18</v>
      </c>
      <c r="M4" s="12"/>
      <c r="N4" s="12"/>
      <c r="O4" s="12"/>
      <c r="P4" s="12"/>
      <c r="Q4" s="12"/>
      <c r="R4" s="12"/>
    </row>
    <row r="5" spans="1:18" x14ac:dyDescent="0.25">
      <c r="A5" s="2"/>
      <c r="B5" s="2"/>
      <c r="C5" s="2">
        <f>(B6+B4)/2</f>
        <v>37.5</v>
      </c>
      <c r="D5" s="2">
        <f>C5*'PREPARE PLOT'!$B$2</f>
        <v>0.81</v>
      </c>
      <c r="E5" s="2">
        <f>F3-(H4*'PREPARE PLOT'!$B$2)</f>
        <v>3.4071999999999996</v>
      </c>
      <c r="F5" s="2">
        <f>D5+E5</f>
        <v>4.2172000000000001</v>
      </c>
      <c r="G5" s="2"/>
      <c r="H5" s="15"/>
      <c r="I5" s="12"/>
      <c r="J5" s="18" t="s">
        <v>20</v>
      </c>
      <c r="K5" s="18"/>
      <c r="L5" s="18"/>
      <c r="M5" s="16"/>
      <c r="N5" s="18" t="s">
        <v>17</v>
      </c>
      <c r="O5" s="18"/>
      <c r="P5" s="18"/>
      <c r="Q5" s="12" t="s">
        <v>19</v>
      </c>
      <c r="R5" s="12" t="s">
        <v>23</v>
      </c>
    </row>
    <row r="6" spans="1:18" x14ac:dyDescent="0.25">
      <c r="A6" s="2">
        <f>A4+6</f>
        <v>12</v>
      </c>
      <c r="B6" s="2">
        <v>55</v>
      </c>
      <c r="C6" s="2"/>
      <c r="D6" s="2"/>
      <c r="E6" s="2"/>
      <c r="F6" s="2"/>
      <c r="G6" s="2">
        <v>101.04</v>
      </c>
      <c r="H6" s="2">
        <v>27</v>
      </c>
    </row>
    <row r="7" spans="1:18" x14ac:dyDescent="0.25">
      <c r="A7" s="2"/>
      <c r="B7" s="2"/>
      <c r="C7" s="2">
        <f>(B8+B6)/2</f>
        <v>67.5</v>
      </c>
      <c r="D7" s="2">
        <f>C7*'PREPARE PLOT'!$B$2</f>
        <v>1.4580000000000002</v>
      </c>
      <c r="E7" s="2">
        <f>F5-(H6*'PREPARE PLOT'!$B$2)</f>
        <v>3.6339999999999999</v>
      </c>
      <c r="F7" s="2">
        <f>D7+E7</f>
        <v>5.0920000000000005</v>
      </c>
      <c r="G7" s="2"/>
      <c r="H7" s="2"/>
    </row>
    <row r="8" spans="1:18" x14ac:dyDescent="0.25">
      <c r="A8" s="2">
        <f>A6+6</f>
        <v>18</v>
      </c>
      <c r="B8" s="2">
        <v>80</v>
      </c>
      <c r="C8" s="2"/>
      <c r="D8" s="2"/>
      <c r="E8" s="2"/>
      <c r="F8" s="2"/>
      <c r="G8" s="2">
        <v>101.64</v>
      </c>
      <c r="H8" s="2">
        <v>53</v>
      </c>
    </row>
    <row r="9" spans="1:18" x14ac:dyDescent="0.25">
      <c r="A9" s="2"/>
      <c r="B9" s="2"/>
      <c r="C9" s="2">
        <f>(B10+B8)/2</f>
        <v>76.5</v>
      </c>
      <c r="D9" s="2">
        <f>C9*'PREPARE PLOT'!$B$2</f>
        <v>1.6524000000000001</v>
      </c>
      <c r="E9" s="2">
        <f>F7-(H8*'PREPARE PLOT'!$B$2)</f>
        <v>3.9472000000000005</v>
      </c>
      <c r="F9" s="2">
        <f>D9+E9</f>
        <v>5.5996000000000006</v>
      </c>
      <c r="G9" s="2"/>
      <c r="H9" s="2"/>
    </row>
    <row r="10" spans="1:18" x14ac:dyDescent="0.25">
      <c r="A10" s="2">
        <f t="shared" ref="A10:A26" si="0">A8+6</f>
        <v>24</v>
      </c>
      <c r="B10" s="2">
        <v>73</v>
      </c>
      <c r="C10" s="2"/>
      <c r="D10" s="2"/>
      <c r="E10" s="2"/>
      <c r="F10" s="2"/>
      <c r="G10" s="2">
        <v>101.96</v>
      </c>
      <c r="H10" s="2">
        <v>69</v>
      </c>
    </row>
    <row r="11" spans="1:18" x14ac:dyDescent="0.25">
      <c r="A11" s="2"/>
      <c r="B11" s="2"/>
      <c r="C11" s="2">
        <f>(B12+B10)/2</f>
        <v>65.5</v>
      </c>
      <c r="D11" s="2">
        <f>C11*'PREPARE PLOT'!$B$2</f>
        <v>1.4148000000000001</v>
      </c>
      <c r="E11" s="2">
        <f>F9-(H10*'PREPARE PLOT'!$B$2)</f>
        <v>4.1092000000000004</v>
      </c>
      <c r="F11" s="2">
        <f>D11+E11</f>
        <v>5.5240000000000009</v>
      </c>
      <c r="G11" s="2"/>
      <c r="H11" s="2"/>
      <c r="K11" s="12"/>
    </row>
    <row r="12" spans="1:18" x14ac:dyDescent="0.25">
      <c r="A12" s="2">
        <f t="shared" si="0"/>
        <v>30</v>
      </c>
      <c r="B12" s="2">
        <v>58</v>
      </c>
      <c r="C12" s="2"/>
      <c r="D12" s="2"/>
      <c r="E12" s="2"/>
      <c r="F12" s="2"/>
      <c r="G12" s="2">
        <v>101.91</v>
      </c>
      <c r="H12" s="2">
        <v>66</v>
      </c>
      <c r="K12" s="12"/>
    </row>
    <row r="13" spans="1:18" x14ac:dyDescent="0.25">
      <c r="A13" s="2"/>
      <c r="B13" s="2"/>
      <c r="C13" s="2">
        <f>(B14+B12)/2</f>
        <v>52</v>
      </c>
      <c r="D13" s="2">
        <f>C13*'PREPARE PLOT'!$B$2</f>
        <v>1.1232</v>
      </c>
      <c r="E13" s="2">
        <f>F11-(H12*'PREPARE PLOT'!$B$2)</f>
        <v>4.0984000000000007</v>
      </c>
      <c r="F13" s="2">
        <f>D13+E13</f>
        <v>5.2216000000000005</v>
      </c>
      <c r="G13" s="2"/>
      <c r="H13" s="2"/>
      <c r="K13" s="12"/>
    </row>
    <row r="14" spans="1:18" x14ac:dyDescent="0.25">
      <c r="A14" s="2">
        <f t="shared" si="0"/>
        <v>36</v>
      </c>
      <c r="B14" s="2">
        <v>46</v>
      </c>
      <c r="C14" s="2"/>
      <c r="D14" s="2"/>
      <c r="E14" s="2"/>
      <c r="F14" s="2"/>
      <c r="G14" s="2">
        <v>101.72</v>
      </c>
      <c r="H14" s="2">
        <v>57</v>
      </c>
    </row>
    <row r="15" spans="1:18" x14ac:dyDescent="0.25">
      <c r="A15" s="2"/>
      <c r="B15" s="2"/>
      <c r="C15" s="2">
        <f>(B16+B14)/2</f>
        <v>41</v>
      </c>
      <c r="D15" s="2">
        <f>C15*'PREPARE PLOT'!$B$2</f>
        <v>0.88560000000000005</v>
      </c>
      <c r="E15" s="2">
        <f>F13-(H14*'PREPARE PLOT'!$B$2)</f>
        <v>3.9904000000000002</v>
      </c>
      <c r="F15" s="2">
        <f>D15+E15</f>
        <v>4.8760000000000003</v>
      </c>
      <c r="G15" s="2"/>
      <c r="H15" s="2"/>
    </row>
    <row r="16" spans="1:18" x14ac:dyDescent="0.25">
      <c r="A16" s="2">
        <f t="shared" si="0"/>
        <v>42</v>
      </c>
      <c r="B16" s="2">
        <v>36</v>
      </c>
      <c r="C16" s="2"/>
      <c r="D16" s="2"/>
      <c r="E16" s="2"/>
      <c r="F16" s="2"/>
      <c r="G16" s="2">
        <v>101.48</v>
      </c>
      <c r="H16" s="2">
        <v>48</v>
      </c>
    </row>
    <row r="17" spans="1:10" x14ac:dyDescent="0.25">
      <c r="A17" s="2"/>
      <c r="B17" s="2"/>
      <c r="C17" s="2">
        <f>(B18+B16)/2</f>
        <v>45.5</v>
      </c>
      <c r="D17" s="2">
        <f>C17*'PREPARE PLOT'!$B$2</f>
        <v>0.98280000000000001</v>
      </c>
      <c r="E17" s="2">
        <f>F15-(H16*'PREPARE PLOT'!$B$2)</f>
        <v>3.8392000000000004</v>
      </c>
      <c r="F17" s="2">
        <f>D17+E17</f>
        <v>4.8220000000000001</v>
      </c>
      <c r="G17" s="2"/>
      <c r="H17" s="2"/>
    </row>
    <row r="18" spans="1:10" x14ac:dyDescent="0.25">
      <c r="A18" s="2">
        <f t="shared" si="0"/>
        <v>48</v>
      </c>
      <c r="B18" s="2">
        <v>55</v>
      </c>
      <c r="C18" s="2"/>
      <c r="D18" s="2"/>
      <c r="E18" s="2"/>
      <c r="F18" s="2"/>
      <c r="G18" s="2">
        <v>101.3</v>
      </c>
      <c r="H18" s="2">
        <v>37</v>
      </c>
    </row>
    <row r="19" spans="1:10" x14ac:dyDescent="0.25">
      <c r="A19" s="2"/>
      <c r="B19" s="2"/>
      <c r="C19" s="2">
        <f>(B20+B18)/2</f>
        <v>37.5</v>
      </c>
      <c r="D19" s="2">
        <f>C19*'PREPARE PLOT'!$B$2</f>
        <v>0.81</v>
      </c>
      <c r="E19" s="2">
        <f>F17-(H18*'PREPARE PLOT'!$B$2)</f>
        <v>4.0228000000000002</v>
      </c>
      <c r="F19" s="2">
        <f>D19+E19</f>
        <v>4.8328000000000007</v>
      </c>
      <c r="G19" s="2"/>
      <c r="H19" s="2"/>
    </row>
    <row r="20" spans="1:10" x14ac:dyDescent="0.25">
      <c r="A20" s="2">
        <f t="shared" si="0"/>
        <v>54</v>
      </c>
      <c r="B20" s="2">
        <v>20</v>
      </c>
      <c r="C20" s="2"/>
      <c r="D20" s="2"/>
      <c r="E20" s="2"/>
      <c r="F20" s="2"/>
      <c r="G20" s="2">
        <v>100.1</v>
      </c>
      <c r="H20" s="2">
        <v>25</v>
      </c>
    </row>
    <row r="21" spans="1:10" x14ac:dyDescent="0.25">
      <c r="A21" s="2"/>
      <c r="B21" s="2"/>
      <c r="C21" s="2">
        <f>(B22+B20)/2</f>
        <v>17.5</v>
      </c>
      <c r="D21" s="2">
        <f>C21*'PREPARE PLOT'!$B$2</f>
        <v>0.378</v>
      </c>
      <c r="E21" s="2">
        <f>F19-(H20*'PREPARE PLOT'!$B$2)</f>
        <v>4.2928000000000006</v>
      </c>
      <c r="F21" s="2">
        <f>D21+E21</f>
        <v>4.6708000000000007</v>
      </c>
      <c r="G21" s="2"/>
      <c r="H21" s="2"/>
    </row>
    <row r="22" spans="1:10" x14ac:dyDescent="0.25">
      <c r="A22" s="2">
        <f t="shared" si="0"/>
        <v>60</v>
      </c>
      <c r="B22" s="2">
        <v>15</v>
      </c>
      <c r="C22" s="2"/>
      <c r="D22" s="2"/>
      <c r="E22" s="2"/>
      <c r="F22" s="2"/>
      <c r="G22" s="2">
        <v>100.93</v>
      </c>
      <c r="H22" s="2">
        <v>23</v>
      </c>
    </row>
    <row r="23" spans="1:10" x14ac:dyDescent="0.25">
      <c r="A23" s="2"/>
      <c r="B23" s="2"/>
      <c r="C23" s="2">
        <f>(B24+B22)/2</f>
        <v>14</v>
      </c>
      <c r="D23" s="2">
        <f>C23*'PREPARE PLOT'!$B$2</f>
        <v>0.3024</v>
      </c>
      <c r="E23" s="2">
        <f>F21-(H22*'PREPARE PLOT'!$B$2)</f>
        <v>4.1740000000000004</v>
      </c>
      <c r="F23" s="2">
        <f>D23+E23</f>
        <v>4.4763999999999999</v>
      </c>
      <c r="G23" s="2"/>
      <c r="H23" s="2"/>
    </row>
    <row r="24" spans="1:10" x14ac:dyDescent="0.25">
      <c r="A24" s="2">
        <f>A22+6</f>
        <v>66</v>
      </c>
      <c r="B24" s="2">
        <v>13</v>
      </c>
      <c r="C24" s="2"/>
      <c r="D24" s="2"/>
      <c r="E24" s="2"/>
      <c r="F24" s="2"/>
      <c r="G24" s="2">
        <v>100.77</v>
      </c>
      <c r="H24" s="2">
        <v>18</v>
      </c>
    </row>
    <row r="25" spans="1:10" x14ac:dyDescent="0.25">
      <c r="A25" s="2"/>
      <c r="B25" s="2"/>
      <c r="C25" s="2">
        <f>(B26+B24)/2</f>
        <v>12</v>
      </c>
      <c r="D25" s="2">
        <f>C25*'PREPARE PLOT'!$B$2</f>
        <v>0.25919999999999999</v>
      </c>
      <c r="E25" s="2">
        <f>F23-(H24*'PREPARE PLOT'!$B$2)</f>
        <v>4.0876000000000001</v>
      </c>
      <c r="F25" s="2">
        <f>D25+E25</f>
        <v>4.3468</v>
      </c>
      <c r="G25" s="2"/>
      <c r="H25" s="2"/>
    </row>
    <row r="26" spans="1:10" x14ac:dyDescent="0.25">
      <c r="A26" s="2">
        <f t="shared" si="0"/>
        <v>72</v>
      </c>
      <c r="B26" s="2">
        <v>11</v>
      </c>
      <c r="C26" s="2"/>
      <c r="D26" s="2"/>
      <c r="E26" s="2"/>
      <c r="F26" s="2"/>
      <c r="G26" s="2">
        <v>100.65</v>
      </c>
      <c r="H26" s="2">
        <v>14</v>
      </c>
    </row>
    <row r="28" spans="1:10" x14ac:dyDescent="0.25">
      <c r="J28" s="12"/>
    </row>
  </sheetData>
  <mergeCells count="3">
    <mergeCell ref="J5:L5"/>
    <mergeCell ref="N3:P3"/>
    <mergeCell ref="N5:P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sqref="A1:B16"/>
    </sheetView>
  </sheetViews>
  <sheetFormatPr defaultRowHeight="15" x14ac:dyDescent="0.25"/>
  <cols>
    <col min="2" max="2" width="20.42578125" customWidth="1"/>
    <col min="14" max="14" width="14.7109375" style="24" customWidth="1"/>
    <col min="18" max="18" width="9.140625" style="23"/>
  </cols>
  <sheetData>
    <row r="1" spans="1:17" ht="15.75" thickBot="1" x14ac:dyDescent="0.3">
      <c r="A1" s="19" t="s">
        <v>24</v>
      </c>
      <c r="B1" s="20" t="s">
        <v>25</v>
      </c>
      <c r="C1" s="2" t="s">
        <v>13</v>
      </c>
      <c r="D1" s="2" t="s">
        <v>11</v>
      </c>
      <c r="E1" s="2" t="s">
        <v>10</v>
      </c>
      <c r="F1" s="2" t="s">
        <v>2</v>
      </c>
      <c r="G1" s="2" t="s">
        <v>26</v>
      </c>
    </row>
    <row r="2" spans="1:17" ht="15.75" thickBot="1" x14ac:dyDescent="0.3">
      <c r="A2" s="21">
        <v>0</v>
      </c>
      <c r="B2" s="22">
        <v>0</v>
      </c>
      <c r="C2" s="2"/>
      <c r="D2" s="2"/>
      <c r="E2" s="2"/>
      <c r="F2" s="13">
        <v>105</v>
      </c>
      <c r="G2" s="13">
        <v>3</v>
      </c>
      <c r="J2">
        <f>4*60*60/(1000000)</f>
        <v>1.44E-2</v>
      </c>
    </row>
    <row r="3" spans="1:17" ht="15.75" thickBot="1" x14ac:dyDescent="0.3">
      <c r="A3" s="21"/>
      <c r="B3" s="22"/>
      <c r="C3" s="2">
        <f>(B2+B4)/2</f>
        <v>15</v>
      </c>
      <c r="D3" s="2">
        <f>5-(G2*$J$2)</f>
        <v>4.9568000000000003</v>
      </c>
      <c r="E3" s="2">
        <f>C3+D3</f>
        <v>19.956800000000001</v>
      </c>
      <c r="F3" s="2"/>
      <c r="G3" s="15"/>
    </row>
    <row r="4" spans="1:17" ht="18" thickBot="1" x14ac:dyDescent="0.3">
      <c r="A4" s="21">
        <v>4</v>
      </c>
      <c r="B4" s="22">
        <f>20*1.5</f>
        <v>30</v>
      </c>
      <c r="C4" s="2"/>
      <c r="D4" s="2"/>
      <c r="E4" s="2"/>
      <c r="F4" s="2">
        <v>105</v>
      </c>
      <c r="G4" s="15">
        <v>11</v>
      </c>
      <c r="L4" s="19" t="s">
        <v>4</v>
      </c>
      <c r="M4" s="20" t="s">
        <v>9</v>
      </c>
      <c r="N4" s="25" t="s">
        <v>27</v>
      </c>
      <c r="O4" t="s">
        <v>10</v>
      </c>
      <c r="Q4" s="20" t="s">
        <v>27</v>
      </c>
    </row>
    <row r="5" spans="1:17" ht="15.75" thickBot="1" x14ac:dyDescent="0.3">
      <c r="A5" s="21"/>
      <c r="B5" s="22"/>
      <c r="C5" s="2">
        <f>(B4+B6)/2</f>
        <v>75</v>
      </c>
      <c r="D5" s="2">
        <f>E3-(G4*'PREPARE PLOT'!$B$2)</f>
        <v>19.719200000000001</v>
      </c>
      <c r="E5" s="2">
        <f>C5+D5</f>
        <v>94.719200000000001</v>
      </c>
      <c r="F5" s="2"/>
      <c r="G5" s="15"/>
      <c r="K5">
        <f>N5/1000</f>
        <v>0</v>
      </c>
      <c r="L5" s="21">
        <v>100</v>
      </c>
      <c r="M5" s="22">
        <v>5</v>
      </c>
      <c r="N5" s="26">
        <f>Q5*270</f>
        <v>0</v>
      </c>
      <c r="O5">
        <f>M5+(N5*$J$2)/2</f>
        <v>5</v>
      </c>
      <c r="Q5" s="22">
        <v>0</v>
      </c>
    </row>
    <row r="6" spans="1:17" ht="15.75" thickBot="1" x14ac:dyDescent="0.3">
      <c r="A6" s="21">
        <v>8</v>
      </c>
      <c r="B6" s="22">
        <f>80*1.5</f>
        <v>120</v>
      </c>
      <c r="C6" s="2"/>
      <c r="D6" s="2"/>
      <c r="E6" s="2"/>
      <c r="F6" s="2">
        <v>105</v>
      </c>
      <c r="G6" s="2">
        <v>11</v>
      </c>
      <c r="K6">
        <f t="shared" ref="K6:K12" si="0">N6/1000</f>
        <v>2.97</v>
      </c>
      <c r="L6" s="21">
        <v>105</v>
      </c>
      <c r="M6" s="22">
        <v>6</v>
      </c>
      <c r="N6" s="26">
        <f t="shared" ref="N6:N12" si="1">Q6*270</f>
        <v>2970</v>
      </c>
      <c r="O6">
        <f t="shared" ref="O6:O14" si="2">M6+(N6*$J$2)/2</f>
        <v>27.384</v>
      </c>
      <c r="Q6" s="22">
        <v>11</v>
      </c>
    </row>
    <row r="7" spans="1:17" ht="15.75" thickBot="1" x14ac:dyDescent="0.3">
      <c r="A7" s="21"/>
      <c r="B7" s="22"/>
      <c r="C7" s="2">
        <f>(B6+B8)/2</f>
        <v>157.5</v>
      </c>
      <c r="D7" s="2">
        <f>E5-(G6*'PREPARE PLOT'!$B$2)</f>
        <v>94.4816</v>
      </c>
      <c r="E7" s="2">
        <f>C7+D7</f>
        <v>251.98160000000001</v>
      </c>
      <c r="F7" s="2"/>
      <c r="G7" s="2"/>
      <c r="K7">
        <f t="shared" si="0"/>
        <v>7.29</v>
      </c>
      <c r="L7" s="21">
        <v>110</v>
      </c>
      <c r="M7" s="22">
        <v>7</v>
      </c>
      <c r="N7" s="26">
        <f t="shared" si="1"/>
        <v>7290</v>
      </c>
      <c r="O7">
        <f t="shared" si="2"/>
        <v>59.488</v>
      </c>
      <c r="Q7" s="22">
        <v>27</v>
      </c>
    </row>
    <row r="8" spans="1:17" ht="15.75" thickBot="1" x14ac:dyDescent="0.3">
      <c r="A8" s="21">
        <v>12</v>
      </c>
      <c r="B8" s="22">
        <f>130*1.5</f>
        <v>195</v>
      </c>
      <c r="C8" s="2"/>
      <c r="D8" s="2"/>
      <c r="E8" s="2"/>
      <c r="F8" s="2">
        <v>101.64</v>
      </c>
      <c r="G8" s="2">
        <v>27</v>
      </c>
      <c r="K8">
        <f t="shared" si="0"/>
        <v>12.69</v>
      </c>
      <c r="L8" s="21">
        <v>115</v>
      </c>
      <c r="M8" s="22">
        <v>8</v>
      </c>
      <c r="N8" s="26">
        <f t="shared" si="1"/>
        <v>12690</v>
      </c>
      <c r="O8">
        <f t="shared" si="2"/>
        <v>99.367999999999995</v>
      </c>
      <c r="Q8" s="22">
        <v>47</v>
      </c>
    </row>
    <row r="9" spans="1:17" ht="15.75" thickBot="1" x14ac:dyDescent="0.3">
      <c r="A9" s="21"/>
      <c r="B9" s="22"/>
      <c r="C9" s="2">
        <f>(B8+B10)/2</f>
        <v>210</v>
      </c>
      <c r="D9" s="2">
        <f>E7-(G8*'PREPARE PLOT'!$B$2)</f>
        <v>251.39840000000001</v>
      </c>
      <c r="E9" s="2">
        <f>C9+D9</f>
        <v>461.39840000000004</v>
      </c>
      <c r="F9" s="2"/>
      <c r="G9" s="2"/>
      <c r="K9">
        <f t="shared" si="0"/>
        <v>19.71</v>
      </c>
      <c r="L9" s="21">
        <v>120</v>
      </c>
      <c r="M9" s="22">
        <v>9</v>
      </c>
      <c r="N9" s="26">
        <f t="shared" si="1"/>
        <v>19710</v>
      </c>
      <c r="O9">
        <f t="shared" si="2"/>
        <v>150.91200000000001</v>
      </c>
      <c r="Q9" s="22">
        <v>73</v>
      </c>
    </row>
    <row r="10" spans="1:17" ht="15.75" thickBot="1" x14ac:dyDescent="0.3">
      <c r="A10" s="21">
        <v>16</v>
      </c>
      <c r="B10" s="22">
        <f>150*1.5</f>
        <v>225</v>
      </c>
      <c r="C10" s="2"/>
      <c r="D10" s="2"/>
      <c r="E10" s="2"/>
      <c r="F10" s="2">
        <v>101.96</v>
      </c>
      <c r="G10" s="2">
        <v>47</v>
      </c>
      <c r="K10">
        <f t="shared" si="0"/>
        <v>27.54</v>
      </c>
      <c r="L10" s="21">
        <v>125</v>
      </c>
      <c r="M10" s="22">
        <v>5.4</v>
      </c>
      <c r="N10" s="26">
        <f t="shared" si="1"/>
        <v>27540</v>
      </c>
      <c r="O10">
        <f t="shared" si="2"/>
        <v>203.68799999999999</v>
      </c>
      <c r="Q10" s="22">
        <v>102</v>
      </c>
    </row>
    <row r="11" spans="1:17" ht="15.75" thickBot="1" x14ac:dyDescent="0.3">
      <c r="A11" s="21"/>
      <c r="B11" s="22"/>
      <c r="C11" s="2">
        <f>(B10+B12)/2</f>
        <v>210</v>
      </c>
      <c r="D11" s="2">
        <f>E9-(G10*'PREPARE PLOT'!$B$2)</f>
        <v>460.38320000000004</v>
      </c>
      <c r="E11" s="2">
        <f>C11+D11</f>
        <v>670.38319999999999</v>
      </c>
      <c r="F11" s="2"/>
      <c r="G11" s="2"/>
      <c r="K11">
        <f t="shared" si="0"/>
        <v>31.86</v>
      </c>
      <c r="L11" s="21">
        <v>130</v>
      </c>
      <c r="M11" s="22">
        <v>5.5</v>
      </c>
      <c r="N11" s="26">
        <f t="shared" si="1"/>
        <v>31860</v>
      </c>
      <c r="O11">
        <f t="shared" si="2"/>
        <v>234.892</v>
      </c>
      <c r="Q11" s="22">
        <v>118</v>
      </c>
    </row>
    <row r="12" spans="1:17" ht="15.75" thickBot="1" x14ac:dyDescent="0.3">
      <c r="A12" s="21">
        <v>20</v>
      </c>
      <c r="B12" s="22">
        <f>130*1.5</f>
        <v>195</v>
      </c>
      <c r="C12" s="2"/>
      <c r="D12" s="2"/>
      <c r="E12" s="2"/>
      <c r="F12" s="2">
        <v>101.91</v>
      </c>
      <c r="G12" s="2">
        <v>27</v>
      </c>
      <c r="K12">
        <f t="shared" si="0"/>
        <v>36.450000000000003</v>
      </c>
      <c r="L12" s="21">
        <v>135</v>
      </c>
      <c r="M12" s="22">
        <v>5.9</v>
      </c>
      <c r="N12" s="26">
        <f t="shared" si="1"/>
        <v>36450</v>
      </c>
      <c r="O12">
        <f t="shared" si="2"/>
        <v>268.33999999999997</v>
      </c>
      <c r="Q12" s="22">
        <v>135</v>
      </c>
    </row>
    <row r="13" spans="1:17" ht="15.75" thickBot="1" x14ac:dyDescent="0.3">
      <c r="A13" s="21"/>
      <c r="B13" s="22"/>
      <c r="C13" s="2">
        <f>(B12+B14)/2</f>
        <v>165</v>
      </c>
      <c r="D13" s="2">
        <f>E11-(G12*'PREPARE PLOT'!$B$2)</f>
        <v>669.8</v>
      </c>
      <c r="E13" s="2">
        <f>C13+D13</f>
        <v>834.8</v>
      </c>
      <c r="F13" s="2"/>
      <c r="G13" s="2"/>
    </row>
    <row r="14" spans="1:17" ht="15.75" thickBot="1" x14ac:dyDescent="0.3">
      <c r="A14" s="21">
        <v>24</v>
      </c>
      <c r="B14" s="22">
        <f>90*1.5</f>
        <v>135</v>
      </c>
      <c r="C14" s="2"/>
      <c r="D14" s="2"/>
      <c r="E14" s="2"/>
      <c r="F14" s="2">
        <v>101.72</v>
      </c>
      <c r="G14" s="2">
        <v>57</v>
      </c>
    </row>
    <row r="15" spans="1:17" ht="15.75" thickBot="1" x14ac:dyDescent="0.3">
      <c r="A15" s="21"/>
      <c r="B15" s="22"/>
      <c r="C15" s="2">
        <f>(B14+B16)/2</f>
        <v>106.5</v>
      </c>
      <c r="D15" s="2">
        <f>E13-(G14*'PREPARE PLOT'!$B$2)</f>
        <v>833.56880000000001</v>
      </c>
      <c r="E15" s="2">
        <f>C15+D15</f>
        <v>940.06880000000001</v>
      </c>
      <c r="F15" s="2"/>
      <c r="G15" s="2"/>
    </row>
    <row r="16" spans="1:17" ht="15.75" thickBot="1" x14ac:dyDescent="0.3">
      <c r="A16" s="21">
        <v>28</v>
      </c>
      <c r="B16" s="22">
        <f>52*1.5</f>
        <v>78</v>
      </c>
      <c r="C16" s="2"/>
      <c r="D16" s="2"/>
      <c r="E16" s="2"/>
      <c r="F16" s="13">
        <v>102.236428571429</v>
      </c>
      <c r="G16" s="13">
        <v>78.267857142857096</v>
      </c>
    </row>
    <row r="17" spans="8:14" x14ac:dyDescent="0.25">
      <c r="H17">
        <f>AVERAGE(G2:G16)</f>
        <v>32.658482142857139</v>
      </c>
      <c r="L17" s="2" t="s">
        <v>4</v>
      </c>
      <c r="M17" s="2" t="s">
        <v>9</v>
      </c>
      <c r="N17" s="27" t="s">
        <v>28</v>
      </c>
    </row>
    <row r="18" spans="8:14" x14ac:dyDescent="0.25">
      <c r="H18">
        <f>STDEV(G2:G16)</f>
        <v>26.077482938165357</v>
      </c>
      <c r="L18" s="2">
        <v>100</v>
      </c>
      <c r="M18" s="2">
        <v>5</v>
      </c>
      <c r="N18" s="27">
        <v>0</v>
      </c>
    </row>
    <row r="19" spans="8:14" x14ac:dyDescent="0.25">
      <c r="L19" s="2">
        <v>105</v>
      </c>
      <c r="M19" s="2">
        <v>6</v>
      </c>
      <c r="N19" s="27">
        <v>2.97</v>
      </c>
    </row>
    <row r="20" spans="8:14" x14ac:dyDescent="0.25">
      <c r="L20" s="2">
        <v>110</v>
      </c>
      <c r="M20" s="2">
        <v>7</v>
      </c>
      <c r="N20" s="27">
        <v>7.29</v>
      </c>
    </row>
    <row r="21" spans="8:14" x14ac:dyDescent="0.25">
      <c r="L21" s="2">
        <v>115</v>
      </c>
      <c r="M21" s="2">
        <v>8</v>
      </c>
      <c r="N21" s="27">
        <v>12.69</v>
      </c>
    </row>
    <row r="22" spans="8:14" x14ac:dyDescent="0.25">
      <c r="L22" s="2">
        <v>120</v>
      </c>
      <c r="M22" s="2">
        <v>9</v>
      </c>
      <c r="N22" s="27">
        <v>19.71</v>
      </c>
    </row>
    <row r="23" spans="8:14" x14ac:dyDescent="0.25">
      <c r="L23" s="2">
        <v>125</v>
      </c>
      <c r="M23" s="2">
        <v>5.4</v>
      </c>
      <c r="N23" s="27">
        <v>27.54</v>
      </c>
    </row>
    <row r="24" spans="8:14" x14ac:dyDescent="0.25">
      <c r="L24" s="2">
        <v>130</v>
      </c>
      <c r="M24" s="2">
        <v>5.5</v>
      </c>
      <c r="N24" s="27">
        <v>31.86</v>
      </c>
    </row>
    <row r="25" spans="8:14" x14ac:dyDescent="0.25">
      <c r="L25" s="2">
        <v>135</v>
      </c>
      <c r="M25" s="2">
        <v>5.9</v>
      </c>
      <c r="N25" s="27">
        <v>36.450000000000003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3" workbookViewId="0">
      <selection activeCell="G16" sqref="A1:XFD1048576"/>
    </sheetView>
  </sheetViews>
  <sheetFormatPr defaultRowHeight="15" x14ac:dyDescent="0.25"/>
  <cols>
    <col min="3" max="3" width="11.5703125" customWidth="1"/>
  </cols>
  <sheetData>
    <row r="1" spans="1:3" ht="15.75" x14ac:dyDescent="0.25">
      <c r="A1" s="28" t="s">
        <v>29</v>
      </c>
      <c r="B1">
        <v>0.25</v>
      </c>
      <c r="C1" t="s">
        <v>32</v>
      </c>
    </row>
    <row r="2" spans="1:3" x14ac:dyDescent="0.25">
      <c r="A2" t="s">
        <v>30</v>
      </c>
      <c r="B2">
        <v>2.5</v>
      </c>
      <c r="C2" t="s">
        <v>31</v>
      </c>
    </row>
    <row r="3" spans="1:3" x14ac:dyDescent="0.25">
      <c r="A3" t="s">
        <v>24</v>
      </c>
      <c r="B3">
        <v>4</v>
      </c>
      <c r="C3" t="s">
        <v>33</v>
      </c>
    </row>
    <row r="4" spans="1:3" x14ac:dyDescent="0.25">
      <c r="B4">
        <f>4*60*60</f>
        <v>14400</v>
      </c>
      <c r="C4" t="s">
        <v>8</v>
      </c>
    </row>
    <row r="5" spans="1:3" ht="18" thickBot="1" x14ac:dyDescent="0.3">
      <c r="B5" s="33">
        <f>B4/1000000</f>
        <v>1.44E-2</v>
      </c>
      <c r="C5" t="s">
        <v>39</v>
      </c>
    </row>
    <row r="6" spans="1:3" ht="15.75" thickTop="1" x14ac:dyDescent="0.25"/>
    <row r="7" spans="1:3" ht="15.75" x14ac:dyDescent="0.25">
      <c r="A7" t="s">
        <v>54</v>
      </c>
      <c r="B7" s="28" t="s">
        <v>34</v>
      </c>
    </row>
    <row r="8" spans="1:3" x14ac:dyDescent="0.25">
      <c r="B8">
        <f xml:space="preserve"> B2-B1*B3</f>
        <v>1.5</v>
      </c>
      <c r="C8" t="s">
        <v>31</v>
      </c>
    </row>
    <row r="10" spans="1:3" x14ac:dyDescent="0.25">
      <c r="A10" t="s">
        <v>55</v>
      </c>
    </row>
    <row r="12" spans="1:3" ht="15.75" thickBot="1" x14ac:dyDescent="0.3">
      <c r="B12" s="33">
        <v>1.5</v>
      </c>
      <c r="C12" s="33" t="s">
        <v>31</v>
      </c>
    </row>
    <row r="13" spans="1:3" ht="16.5" thickTop="1" thickBot="1" x14ac:dyDescent="0.3"/>
    <row r="14" spans="1:3" ht="45.75" thickBot="1" x14ac:dyDescent="0.3">
      <c r="A14" s="19" t="s">
        <v>24</v>
      </c>
      <c r="B14" s="29" t="s">
        <v>52</v>
      </c>
      <c r="C14" s="31" t="s">
        <v>35</v>
      </c>
    </row>
    <row r="15" spans="1:3" ht="15.75" thickBot="1" x14ac:dyDescent="0.3">
      <c r="A15" s="21">
        <v>0</v>
      </c>
      <c r="B15" s="30">
        <v>0</v>
      </c>
      <c r="C15" s="2">
        <f>B15*$B$12</f>
        <v>0</v>
      </c>
    </row>
    <row r="16" spans="1:3" ht="15.75" thickBot="1" x14ac:dyDescent="0.3">
      <c r="A16" s="21">
        <v>4</v>
      </c>
      <c r="B16" s="30">
        <v>20</v>
      </c>
      <c r="C16" s="2">
        <f t="shared" ref="C16:C20" si="0">B16*$B$12</f>
        <v>30</v>
      </c>
    </row>
    <row r="17" spans="1:8" ht="15.75" thickBot="1" x14ac:dyDescent="0.3">
      <c r="A17" s="21">
        <v>8</v>
      </c>
      <c r="B17" s="30">
        <v>80</v>
      </c>
      <c r="C17" s="2">
        <f t="shared" si="0"/>
        <v>120</v>
      </c>
    </row>
    <row r="18" spans="1:8" ht="15.75" thickBot="1" x14ac:dyDescent="0.3">
      <c r="A18" s="21">
        <v>12</v>
      </c>
      <c r="B18" s="30">
        <v>130</v>
      </c>
      <c r="C18" s="2">
        <f t="shared" si="0"/>
        <v>195</v>
      </c>
    </row>
    <row r="19" spans="1:8" ht="15.75" thickBot="1" x14ac:dyDescent="0.3">
      <c r="A19" s="21">
        <v>16</v>
      </c>
      <c r="B19" s="30">
        <v>150</v>
      </c>
      <c r="C19" s="2">
        <f t="shared" si="0"/>
        <v>225</v>
      </c>
    </row>
    <row r="20" spans="1:8" ht="15.75" thickBot="1" x14ac:dyDescent="0.3">
      <c r="A20" s="21">
        <v>20</v>
      </c>
      <c r="B20" s="30">
        <v>130</v>
      </c>
      <c r="C20" s="2">
        <f t="shared" si="0"/>
        <v>195</v>
      </c>
    </row>
    <row r="23" spans="1:8" x14ac:dyDescent="0.25">
      <c r="A23" t="s">
        <v>36</v>
      </c>
    </row>
    <row r="24" spans="1:8" ht="15.75" thickBot="1" x14ac:dyDescent="0.3"/>
    <row r="25" spans="1:8" ht="15.75" thickBot="1" x14ac:dyDescent="0.3">
      <c r="A25" s="19" t="s">
        <v>24</v>
      </c>
      <c r="B25" s="32" t="s">
        <v>37</v>
      </c>
      <c r="C25" s="2" t="s">
        <v>38</v>
      </c>
      <c r="D25" s="2" t="s">
        <v>13</v>
      </c>
      <c r="E25" s="2" t="s">
        <v>11</v>
      </c>
      <c r="F25" s="2" t="s">
        <v>10</v>
      </c>
      <c r="G25" s="2" t="s">
        <v>2</v>
      </c>
      <c r="H25" s="2" t="s">
        <v>3</v>
      </c>
    </row>
    <row r="26" spans="1:8" ht="15.75" thickBot="1" x14ac:dyDescent="0.3">
      <c r="A26" s="21">
        <v>0</v>
      </c>
      <c r="B26" s="30">
        <f>C15</f>
        <v>0</v>
      </c>
      <c r="C26" s="2"/>
      <c r="D26" s="2"/>
      <c r="E26" s="2"/>
      <c r="F26" s="2"/>
      <c r="G26" s="2">
        <f>A40</f>
        <v>101</v>
      </c>
      <c r="H26" s="2">
        <f>C40</f>
        <v>11</v>
      </c>
    </row>
    <row r="27" spans="1:8" ht="15.75" thickBot="1" x14ac:dyDescent="0.3">
      <c r="A27" s="21"/>
      <c r="B27" s="30"/>
      <c r="C27" s="2">
        <f>(B28+B26)/2</f>
        <v>15</v>
      </c>
      <c r="D27" s="2">
        <f>C27*$B$5</f>
        <v>0.216</v>
      </c>
      <c r="E27" s="2">
        <f>$B$40-(($C$40)*$B$5)/2</f>
        <v>3.4207999999999998</v>
      </c>
      <c r="F27" s="2">
        <f>E27+D27</f>
        <v>3.6368</v>
      </c>
      <c r="G27" s="2"/>
      <c r="H27" s="2"/>
    </row>
    <row r="28" spans="1:8" ht="15.75" thickBot="1" x14ac:dyDescent="0.3">
      <c r="A28" s="21">
        <v>4</v>
      </c>
      <c r="B28" s="30">
        <f>C16</f>
        <v>30</v>
      </c>
      <c r="C28" s="2"/>
      <c r="D28" s="2"/>
      <c r="E28" s="2"/>
      <c r="F28" s="2"/>
      <c r="G28" s="2">
        <f>((A40-A41)/(D40-D41))*(F27-D41)+A41</f>
        <v>101.11180124223603</v>
      </c>
      <c r="H28" s="2">
        <f>((C40-C41)/(D40-D41))*(F27-D41)+C41</f>
        <v>12.788819875776394</v>
      </c>
    </row>
    <row r="29" spans="1:8" ht="15.75" thickBot="1" x14ac:dyDescent="0.3">
      <c r="A29" s="21"/>
      <c r="B29" s="30"/>
      <c r="C29" s="2">
        <f>(B30+B28)/2</f>
        <v>75</v>
      </c>
      <c r="D29" s="2">
        <f>C29*$B$5</f>
        <v>1.08</v>
      </c>
      <c r="E29" s="2">
        <f>F27-H28*$B$5</f>
        <v>3.4526409937888198</v>
      </c>
      <c r="F29" s="2">
        <f>E29+D29</f>
        <v>4.5326409937888199</v>
      </c>
      <c r="G29" s="2"/>
      <c r="H29" s="2"/>
    </row>
    <row r="30" spans="1:8" ht="15.75" thickBot="1" x14ac:dyDescent="0.3">
      <c r="A30" s="21">
        <v>8</v>
      </c>
      <c r="B30" s="30">
        <f>C17</f>
        <v>120</v>
      </c>
      <c r="C30" s="2"/>
      <c r="D30" s="2"/>
      <c r="E30" s="2"/>
      <c r="F30" s="2"/>
      <c r="G30" s="2">
        <f>((A41-A42)/(D41-D42))*(F29-D42)+A42</f>
        <v>102.68049843756027</v>
      </c>
      <c r="H30" s="2">
        <f>((C41-C42)/(D41-D42))*(F29-D42)+C42</f>
        <v>40.609968751205578</v>
      </c>
    </row>
    <row r="31" spans="1:8" ht="15.75" thickBot="1" x14ac:dyDescent="0.3">
      <c r="A31" s="21"/>
      <c r="B31" s="30"/>
      <c r="C31" s="2">
        <f>(B32+B30)/2</f>
        <v>157.5</v>
      </c>
      <c r="D31" s="2">
        <f>C31*$B$5</f>
        <v>2.2679999999999998</v>
      </c>
      <c r="E31" s="2">
        <f>F29-H30*$B$5</f>
        <v>3.9478574437714595</v>
      </c>
      <c r="F31" s="2">
        <f>E31+D31</f>
        <v>6.2158574437714593</v>
      </c>
      <c r="G31" s="2"/>
      <c r="H31" s="2"/>
    </row>
    <row r="32" spans="1:8" ht="15.75" thickBot="1" x14ac:dyDescent="0.3">
      <c r="A32" s="21">
        <v>12</v>
      </c>
      <c r="B32" s="30">
        <f>C18</f>
        <v>195</v>
      </c>
      <c r="C32" s="2"/>
      <c r="D32" s="2"/>
      <c r="E32" s="2"/>
      <c r="F32" s="2"/>
      <c r="G32" s="2">
        <f>((A44-A45)/(D44-D45))*(F31-D45)+A45</f>
        <v>105.15000265868345</v>
      </c>
      <c r="H32" s="2">
        <f>((C44-C45)/(D44-D45))*(H3231-D45)+C45</f>
        <v>65.851502651738372</v>
      </c>
    </row>
    <row r="33" spans="1:8" ht="15.75" thickBot="1" x14ac:dyDescent="0.3">
      <c r="A33" s="21"/>
      <c r="B33" s="30"/>
      <c r="C33" s="2">
        <f>(B34+B32)/2</f>
        <v>210</v>
      </c>
      <c r="D33" s="2">
        <f>C33*$B$5</f>
        <v>3.024</v>
      </c>
      <c r="E33" s="2">
        <f>F31-H32*$B$5</f>
        <v>5.2675958055864269</v>
      </c>
      <c r="F33" s="2">
        <f>E33+D33</f>
        <v>8.2915958055864269</v>
      </c>
      <c r="G33" s="2"/>
      <c r="H33" s="2"/>
    </row>
    <row r="34" spans="1:8" ht="15.75" thickBot="1" x14ac:dyDescent="0.3">
      <c r="A34" s="21">
        <v>16</v>
      </c>
      <c r="B34" s="30">
        <f>C19</f>
        <v>225</v>
      </c>
      <c r="C34" s="2"/>
      <c r="D34" s="2"/>
      <c r="E34" s="2"/>
      <c r="F34" s="2"/>
      <c r="G34" s="2">
        <f>((A44-A45)/(D44-D45))*(F33-D45)+A45</f>
        <v>108.97244366084713</v>
      </c>
      <c r="H34" s="2">
        <f>((C45-C46)/(D45-D46))*(F33-D46)+C46</f>
        <v>116.66813555753247</v>
      </c>
    </row>
    <row r="35" spans="1:8" ht="15.75" thickBot="1" x14ac:dyDescent="0.3">
      <c r="A35" s="21"/>
      <c r="B35" s="30"/>
      <c r="C35" s="2">
        <f>(B36+B34)/2</f>
        <v>210</v>
      </c>
      <c r="D35" s="2">
        <f>C35*$B$5</f>
        <v>3.024</v>
      </c>
      <c r="E35" s="2">
        <f>F33-H34*$B$5</f>
        <v>6.6115746535579598</v>
      </c>
      <c r="F35" s="2">
        <f>E35+D35</f>
        <v>9.6355746535579598</v>
      </c>
      <c r="G35" s="2"/>
      <c r="H35" s="2"/>
    </row>
    <row r="36" spans="1:8" ht="15.75" thickBot="1" x14ac:dyDescent="0.3">
      <c r="A36" s="21">
        <v>20</v>
      </c>
      <c r="B36" s="30">
        <f>C20</f>
        <v>195</v>
      </c>
      <c r="C36" s="2"/>
      <c r="D36" s="2"/>
      <c r="E36" s="2"/>
      <c r="F36" s="2"/>
      <c r="G36" s="2">
        <f>((A45-A46)/(D45-D46))*(F35-D46)+A46</f>
        <v>111.10352501061153</v>
      </c>
      <c r="H36" s="2">
        <f>((C45-C46)/(D45-D46))*(F35-D46)+C46</f>
        <v>119.87599251803961</v>
      </c>
    </row>
    <row r="37" spans="1:8" ht="15.75" thickBot="1" x14ac:dyDescent="0.3"/>
    <row r="38" spans="1:8" ht="18" thickBot="1" x14ac:dyDescent="0.3">
      <c r="A38" s="19" t="s">
        <v>4</v>
      </c>
      <c r="B38" s="20" t="s">
        <v>9</v>
      </c>
      <c r="C38" s="32" t="s">
        <v>53</v>
      </c>
      <c r="D38" s="2" t="s">
        <v>10</v>
      </c>
    </row>
    <row r="39" spans="1:8" ht="15.75" thickBot="1" x14ac:dyDescent="0.3">
      <c r="A39" s="21">
        <v>100</v>
      </c>
      <c r="B39" s="22">
        <v>3.4</v>
      </c>
      <c r="C39" s="30">
        <v>0</v>
      </c>
      <c r="D39" s="2">
        <f>B39+(C39*$B$5/2)</f>
        <v>3.4</v>
      </c>
    </row>
    <row r="40" spans="1:8" ht="15.75" thickBot="1" x14ac:dyDescent="0.3">
      <c r="A40" s="21">
        <v>101</v>
      </c>
      <c r="B40" s="22">
        <v>3.5</v>
      </c>
      <c r="C40" s="30">
        <v>11</v>
      </c>
      <c r="D40" s="2">
        <f t="shared" ref="D40:D46" si="1">B40+(C40*$B$5/2)</f>
        <v>3.5792000000000002</v>
      </c>
    </row>
    <row r="41" spans="1:8" ht="15.75" thickBot="1" x14ac:dyDescent="0.3">
      <c r="A41" s="21">
        <v>102</v>
      </c>
      <c r="B41" s="22">
        <v>3.9</v>
      </c>
      <c r="C41" s="30">
        <v>27</v>
      </c>
      <c r="D41" s="2">
        <f t="shared" si="1"/>
        <v>4.0944000000000003</v>
      </c>
    </row>
    <row r="42" spans="1:8" ht="15.75" thickBot="1" x14ac:dyDescent="0.3">
      <c r="A42" s="21">
        <v>103</v>
      </c>
      <c r="B42" s="22">
        <v>4.4000000000000004</v>
      </c>
      <c r="C42" s="30">
        <v>47</v>
      </c>
      <c r="D42" s="2">
        <f t="shared" si="1"/>
        <v>4.7384000000000004</v>
      </c>
    </row>
    <row r="43" spans="1:8" ht="15.75" thickBot="1" x14ac:dyDescent="0.3">
      <c r="A43" s="21">
        <v>104</v>
      </c>
      <c r="B43" s="22">
        <v>5</v>
      </c>
      <c r="C43" s="30">
        <v>73</v>
      </c>
      <c r="D43" s="2">
        <f t="shared" si="1"/>
        <v>5.5255999999999998</v>
      </c>
    </row>
    <row r="44" spans="1:8" ht="15.75" thickBot="1" x14ac:dyDescent="0.3">
      <c r="A44" s="21">
        <v>105</v>
      </c>
      <c r="B44" s="22">
        <v>5.4</v>
      </c>
      <c r="C44" s="30">
        <v>102</v>
      </c>
      <c r="D44" s="2">
        <f t="shared" si="1"/>
        <v>6.1344000000000003</v>
      </c>
    </row>
    <row r="45" spans="1:8" ht="15.75" thickBot="1" x14ac:dyDescent="0.3">
      <c r="A45" s="21">
        <v>110</v>
      </c>
      <c r="B45" s="22">
        <v>8</v>
      </c>
      <c r="C45" s="30">
        <v>118</v>
      </c>
      <c r="D45" s="2">
        <f t="shared" si="1"/>
        <v>8.8496000000000006</v>
      </c>
    </row>
    <row r="46" spans="1:8" ht="15.75" thickBot="1" x14ac:dyDescent="0.3">
      <c r="A46" s="21">
        <v>120</v>
      </c>
      <c r="B46" s="22">
        <v>15</v>
      </c>
      <c r="C46" s="30">
        <v>135</v>
      </c>
      <c r="D46" s="2">
        <f t="shared" si="1"/>
        <v>15.972</v>
      </c>
    </row>
    <row r="48" spans="1:8" ht="18" x14ac:dyDescent="0.35">
      <c r="A48" t="s">
        <v>40</v>
      </c>
      <c r="B48" s="35" t="s">
        <v>43</v>
      </c>
      <c r="C48" s="36">
        <f>MAX(H26:H36)</f>
        <v>119.87599251803961</v>
      </c>
    </row>
    <row r="49" spans="1:3" x14ac:dyDescent="0.25">
      <c r="B49" s="34" t="s">
        <v>41</v>
      </c>
      <c r="C49" s="34">
        <f>AVERAGE(H26,H28,H30,H32,H34,H36)</f>
        <v>61.1324032257154</v>
      </c>
    </row>
    <row r="50" spans="1:3" x14ac:dyDescent="0.25">
      <c r="B50" s="34" t="s">
        <v>42</v>
      </c>
      <c r="C50" s="34">
        <f>STDEV(H26,H28,H30,H32,H34,H36)</f>
        <v>48.639134385858391</v>
      </c>
    </row>
    <row r="51" spans="1:3" ht="18" x14ac:dyDescent="0.35">
      <c r="A51" t="s">
        <v>44</v>
      </c>
    </row>
    <row r="52" spans="1:3" x14ac:dyDescent="0.25">
      <c r="A52" t="s">
        <v>45</v>
      </c>
      <c r="B52">
        <f>(C48-C49)/C50</f>
        <v>1.2077433127470221</v>
      </c>
    </row>
    <row r="57" spans="1:3" x14ac:dyDescent="0.25">
      <c r="A57" t="s">
        <v>47</v>
      </c>
      <c r="B57">
        <v>0.57699999999999996</v>
      </c>
      <c r="C57" s="34" t="s">
        <v>51</v>
      </c>
    </row>
    <row r="58" spans="1:3" x14ac:dyDescent="0.25">
      <c r="A58" t="s">
        <v>48</v>
      </c>
      <c r="B58">
        <v>1.2825</v>
      </c>
    </row>
    <row r="60" spans="1:3" x14ac:dyDescent="0.25">
      <c r="A60" t="s">
        <v>46</v>
      </c>
      <c r="B60">
        <f>B52*B58+B57</f>
        <v>2.1259307985980556</v>
      </c>
    </row>
    <row r="66" spans="1:3" x14ac:dyDescent="0.25">
      <c r="B66">
        <f>EXP(EXP(-B60))</f>
        <v>1.1267325009874389</v>
      </c>
    </row>
    <row r="69" spans="1:3" x14ac:dyDescent="0.25">
      <c r="A69" t="s">
        <v>49</v>
      </c>
      <c r="B69">
        <f>(-1)/(1-B66)</f>
        <v>7.8906357264985623</v>
      </c>
      <c r="C69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PREPARE PLOT</vt:lpstr>
      <vt:lpstr>calculation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yihova-jira</cp:lastModifiedBy>
  <cp:lastPrinted>2015-01-02T23:35:32Z</cp:lastPrinted>
  <dcterms:created xsi:type="dcterms:W3CDTF">2015-01-02T22:46:11Z</dcterms:created>
  <dcterms:modified xsi:type="dcterms:W3CDTF">2015-02-07T04:49:25Z</dcterms:modified>
</cp:coreProperties>
</file>